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apkb\Downloads\"/>
    </mc:Choice>
  </mc:AlternateContent>
  <xr:revisionPtr revIDLastSave="0" documentId="13_ncr:1_{D6736F9A-A142-4BBD-A5F3-85B1BAD622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AL Simulator" sheetId="1" r:id="rId1"/>
    <sheet name="DECISION" sheetId="3" r:id="rId2"/>
    <sheet name="Sensitivity" sheetId="2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3" l="1"/>
  <c r="B11" i="2"/>
  <c r="B10" i="2"/>
  <c r="B9" i="2"/>
  <c r="B8" i="2"/>
  <c r="H53" i="1"/>
  <c r="G53" i="1"/>
  <c r="F53" i="1"/>
  <c r="E53" i="1"/>
  <c r="D53" i="1"/>
  <c r="C53" i="1"/>
  <c r="B53" i="1"/>
  <c r="H52" i="1"/>
  <c r="G52" i="1"/>
  <c r="F52" i="1"/>
  <c r="E52" i="1"/>
  <c r="D52" i="1"/>
  <c r="C52" i="1"/>
  <c r="B52" i="1"/>
  <c r="H51" i="1"/>
  <c r="G51" i="1"/>
  <c r="F51" i="1"/>
  <c r="E51" i="1"/>
  <c r="D51" i="1"/>
  <c r="C51" i="1"/>
  <c r="B51" i="1"/>
  <c r="H50" i="1"/>
  <c r="G50" i="1"/>
  <c r="F50" i="1"/>
  <c r="E50" i="1"/>
  <c r="D50" i="1"/>
  <c r="C50" i="1"/>
  <c r="B50" i="1"/>
  <c r="H49" i="1"/>
  <c r="G49" i="1"/>
  <c r="F49" i="1"/>
  <c r="E49" i="1"/>
  <c r="D49" i="1"/>
  <c r="C49" i="1"/>
  <c r="B49" i="1"/>
  <c r="H48" i="1"/>
  <c r="G48" i="1"/>
  <c r="F48" i="1"/>
  <c r="E48" i="1"/>
  <c r="D48" i="1"/>
  <c r="C48" i="1"/>
  <c r="B48" i="1"/>
  <c r="H47" i="1"/>
  <c r="G47" i="1"/>
  <c r="F47" i="1"/>
  <c r="E47" i="1"/>
  <c r="D47" i="1"/>
  <c r="C47" i="1"/>
  <c r="B47" i="1"/>
  <c r="H46" i="1"/>
  <c r="G46" i="1"/>
  <c r="F46" i="1"/>
  <c r="E46" i="1"/>
  <c r="D46" i="1"/>
  <c r="C46" i="1"/>
  <c r="B46" i="1"/>
  <c r="H45" i="1"/>
  <c r="G45" i="1"/>
  <c r="F45" i="1"/>
  <c r="E45" i="1"/>
  <c r="D45" i="1"/>
  <c r="C45" i="1"/>
  <c r="B45" i="1"/>
  <c r="H44" i="1"/>
  <c r="G44" i="1"/>
  <c r="F44" i="1"/>
  <c r="E44" i="1"/>
  <c r="D44" i="1"/>
  <c r="C44" i="1"/>
  <c r="B44" i="1"/>
  <c r="H43" i="1"/>
  <c r="G43" i="1"/>
  <c r="F43" i="1"/>
  <c r="E43" i="1"/>
  <c r="D43" i="1"/>
  <c r="C43" i="1"/>
  <c r="B43" i="1"/>
  <c r="H42" i="1"/>
  <c r="G42" i="1"/>
  <c r="F42" i="1"/>
  <c r="E42" i="1"/>
  <c r="D42" i="1"/>
  <c r="C42" i="1"/>
  <c r="B42" i="1"/>
  <c r="H41" i="1"/>
  <c r="G41" i="1"/>
  <c r="F41" i="1"/>
  <c r="E41" i="1"/>
  <c r="D41" i="1"/>
  <c r="C41" i="1"/>
  <c r="B41" i="1"/>
  <c r="H40" i="1"/>
  <c r="G40" i="1"/>
  <c r="F40" i="1"/>
  <c r="E40" i="1"/>
  <c r="D40" i="1"/>
  <c r="C40" i="1"/>
  <c r="B40" i="1"/>
  <c r="H39" i="1"/>
  <c r="G39" i="1"/>
  <c r="F39" i="1"/>
  <c r="E39" i="1"/>
  <c r="D39" i="1"/>
  <c r="C39" i="1"/>
  <c r="B39" i="1"/>
  <c r="H38" i="1"/>
  <c r="F38" i="1"/>
  <c r="G38" i="1" s="1"/>
  <c r="D38" i="1"/>
  <c r="C38" i="1"/>
  <c r="B38" i="1"/>
  <c r="E38" i="1" s="1"/>
  <c r="H37" i="1"/>
  <c r="G37" i="1"/>
  <c r="F37" i="1"/>
  <c r="D37" i="1"/>
  <c r="C37" i="1"/>
  <c r="B37" i="1"/>
  <c r="E37" i="1" s="1"/>
  <c r="H36" i="1"/>
  <c r="F36" i="1"/>
  <c r="G36" i="1" s="1"/>
  <c r="D36" i="1"/>
  <c r="C36" i="1"/>
  <c r="B36" i="1"/>
  <c r="E36" i="1" s="1"/>
  <c r="H35" i="1"/>
  <c r="G35" i="1"/>
  <c r="F35" i="1"/>
  <c r="D35" i="1"/>
  <c r="C35" i="1"/>
  <c r="E35" i="1" s="1"/>
  <c r="B35" i="1"/>
  <c r="H34" i="1"/>
  <c r="G34" i="1"/>
  <c r="F34" i="1"/>
  <c r="D34" i="1"/>
  <c r="C34" i="1"/>
  <c r="B34" i="1"/>
  <c r="E34" i="1" s="1"/>
  <c r="E28" i="1"/>
  <c r="B22" i="1"/>
  <c r="B21" i="1"/>
  <c r="B20" i="1"/>
  <c r="B18" i="1"/>
  <c r="B19" i="1" s="1"/>
  <c r="E24" i="1" s="1"/>
  <c r="B8" i="1"/>
  <c r="H11" i="2" s="1"/>
  <c r="G9" i="2" l="1"/>
  <c r="B23" i="1"/>
  <c r="H9" i="2"/>
  <c r="G10" i="2"/>
  <c r="H10" i="2"/>
  <c r="G11" i="2"/>
  <c r="B26" i="1" l="1"/>
  <c r="E25" i="1"/>
  <c r="B24" i="1"/>
  <c r="H8" i="2"/>
  <c r="G8" i="2"/>
  <c r="E26" i="1" l="1"/>
  <c r="F11" i="2"/>
  <c r="B25" i="1"/>
  <c r="E27" i="1" s="1"/>
  <c r="F10" i="2"/>
  <c r="F9" i="2"/>
  <c r="F8" i="2"/>
  <c r="B4" i="2" s="1"/>
  <c r="H24" i="1" s="1"/>
  <c r="B27" i="1"/>
  <c r="E29" i="1"/>
</calcChain>
</file>

<file path=xl/sharedStrings.xml><?xml version="1.0" encoding="utf-8"?>
<sst xmlns="http://schemas.openxmlformats.org/spreadsheetml/2006/main" count="97" uniqueCount="80">
  <si>
    <t>NAL Lease vs. Finance Simulator — Pre-Tax</t>
  </si>
  <si>
    <t>FinanceFrameworks worked example. Blue/yellow cells are editable inputs. The model intentionally excludes tax effects; Section 179, bonus depreciation, lease deductions, and other tax consequences should be reviewed separately where material.</t>
  </si>
  <si>
    <t>PURCHASE / OWNERSHIP INPUTS</t>
  </si>
  <si>
    <t>LEASE INPUTS</t>
  </si>
  <si>
    <t>Equipment price</t>
  </si>
  <si>
    <t>Worked example</t>
  </si>
  <si>
    <t>Annual lease payment</t>
  </si>
  <si>
    <t>Freight</t>
  </si>
  <si>
    <t>Lease term (years)</t>
  </si>
  <si>
    <t>Installation</t>
  </si>
  <si>
    <t>Payment timing</t>
  </si>
  <si>
    <t>End of Year</t>
  </si>
  <si>
    <t>End of Year or Beginning of Year</t>
  </si>
  <si>
    <t>Total acquisition cost</t>
  </si>
  <si>
    <t>Calculated</t>
  </si>
  <si>
    <t>Maintenance included?</t>
  </si>
  <si>
    <t>Yes</t>
  </si>
  <si>
    <t>Annual ownership maintenance</t>
  </si>
  <si>
    <t>Annual lease-only costs</t>
  </si>
  <si>
    <t>Use for costs not incurred under ownership</t>
  </si>
  <si>
    <t>Annual insurance / property tax</t>
  </si>
  <si>
    <t>Not applicable in example</t>
  </si>
  <si>
    <t>End-of-lease return / restoration cost</t>
  </si>
  <si>
    <t>Expected residual value</t>
  </si>
  <si>
    <t>FINANCING INPUTS</t>
  </si>
  <si>
    <t>Pre-tax borrowing rate</t>
  </si>
  <si>
    <t>Comparable borrowing rate</t>
  </si>
  <si>
    <t>Maximum modeled years</t>
  </si>
  <si>
    <t>Workbook capacity</t>
  </si>
  <si>
    <t>CALCULATION / DECISION OUTPUT</t>
  </si>
  <si>
    <t>PV annuity factor</t>
  </si>
  <si>
    <t>Decision rule: NAL = PV Cost to Own − PV Cost to Lease. Positive NAL means leasing has the lower pre-tax PV cost; negative NAL means financing / buying has the lower pre-tax PV cost. The maximum acceptable lease payment is a pre-tax negotiating reference, not a final walk-away price when material tax effects could change the economics.</t>
  </si>
  <si>
    <t>PV Cost to Lease</t>
  </si>
  <si>
    <t>PV of ownership maintenance</t>
  </si>
  <si>
    <t>PV of insurance / property tax</t>
  </si>
  <si>
    <t>PV of residual value</t>
  </si>
  <si>
    <t>PV Cost to Own</t>
  </si>
  <si>
    <t>DECISION FILE SUMMARY</t>
  </si>
  <si>
    <t>Net Advantage to Leasing (NAL)</t>
  </si>
  <si>
    <t>Sensitivity Status</t>
  </si>
  <si>
    <t>Base Result</t>
  </si>
  <si>
    <t>Tax Effects</t>
  </si>
  <si>
    <t>Not Included</t>
  </si>
  <si>
    <t>Maximum Acceptable Lease Payment</t>
  </si>
  <si>
    <t>Pre-tax NAL</t>
  </si>
  <si>
    <t>Workbook Scope</t>
  </si>
  <si>
    <t>Pre-tax NAL / ceiling / sensitivity</t>
  </si>
  <si>
    <t>Quoted lease vs. ceiling</t>
  </si>
  <si>
    <t>Quoted Lease</t>
  </si>
  <si>
    <t>Maximum Acceptable Lease</t>
  </si>
  <si>
    <t>ANNUAL PRESENT-VALUE SCHEDULE</t>
  </si>
  <si>
    <t>Year</t>
  </si>
  <si>
    <t>Lease Payment</t>
  </si>
  <si>
    <t>Lease-Only Cost</t>
  </si>
  <si>
    <t>PV Factor</t>
  </si>
  <si>
    <t>PV Lease Outflow</t>
  </si>
  <si>
    <t>Ownership Maint. + Ins.</t>
  </si>
  <si>
    <t>PV Ownership Cost</t>
  </si>
  <si>
    <t>Residual Value</t>
  </si>
  <si>
    <t>Sensitivity Analysis — Example Test Ranges</t>
  </si>
  <si>
    <t>These ranges are examples only. Replace them with documented ranges supported by a vendor quote, lender term sheet, service agreement, historical maintenance experience, or comparable resale data.</t>
  </si>
  <si>
    <t>Variable</t>
  </si>
  <si>
    <t>Base</t>
  </si>
  <si>
    <t>Low Test</t>
  </si>
  <si>
    <t>High Test</t>
  </si>
  <si>
    <t>Source / Basis</t>
  </si>
  <si>
    <t>Flip?</t>
  </si>
  <si>
    <t>NAL — Low</t>
  </si>
  <si>
    <t>NAL — High</t>
  </si>
  <si>
    <t>Example only — replace with quote range</t>
  </si>
  <si>
    <t>Residual value</t>
  </si>
  <si>
    <t>Example only — replace with resale evidence</t>
  </si>
  <si>
    <t>Example only — replace with service/history</t>
  </si>
  <si>
    <t>Example only — replace with lender terms</t>
  </si>
  <si>
    <t>Additional variable 1</t>
  </si>
  <si>
    <t>Enter documented basis</t>
  </si>
  <si>
    <t>Additional variable 2</t>
  </si>
  <si>
    <t>Additional variable 3</t>
  </si>
  <si>
    <t>Interpretation: if any documented low/high scenario changes the sign of NAL, classify the decision as Sensitive. The workbook does not prescribe universal sensitivity ranges; the user should replace the example ranges with ranges supported by evidence.</t>
  </si>
  <si>
    <t>DECISION: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</si>
</sst>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#,##0;[Red]\(\$#,##0\);\-"/>
    <numFmt numFmtId="165" formatCode="#,##0;[Red]\(#,##0\);\-"/>
    <numFmt numFmtId="166" formatCode="0.0%;[Red]\(0.0%\);\-"/>
    <numFmt numFmtId="167" formatCode="0.0000"/>
  </numFmts>
  <fonts count="12">
    <font>
      <sz val="11"/>
      <name val="Carlito"/>
    </font>
    <font>
      <b/>
      <sz val="16"/>
      <color rgb="FFFFFFFF"/>
      <name val="Carlito"/>
    </font>
    <font>
      <i/>
      <sz val="9"/>
      <color rgb="FF666666"/>
      <name val="Carlito"/>
    </font>
    <font>
      <b/>
      <sz val="11"/>
      <color rgb="FFFFFFFF"/>
      <name val="Carlito"/>
    </font>
    <font>
      <sz val="10"/>
      <color rgb="FF0000FF"/>
      <name val="Carlito"/>
    </font>
    <font>
      <sz val="10"/>
      <color rgb="FF000000"/>
      <name val="Carlito"/>
    </font>
    <font>
      <b/>
      <sz val="10"/>
      <color rgb="FF000000"/>
      <name val="Carlito"/>
    </font>
    <font>
      <b/>
      <i/>
      <sz val="9"/>
      <color rgb="FF666666"/>
      <name val="Carlito"/>
    </font>
    <font>
      <b/>
      <sz val="11"/>
      <color rgb="FF000000"/>
      <name val="Carlito"/>
    </font>
    <font>
      <sz val="10"/>
      <color rgb="FF008000"/>
      <name val="Carlito"/>
    </font>
    <font>
      <sz val="9"/>
      <color rgb="FF0000FF"/>
      <name val="Carlito"/>
    </font>
    <font>
      <sz val="18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F2F2F2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D9E1F2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3" borderId="0" xfId="0" applyNumberFormat="1" applyFont="1" applyFill="1" applyBorder="1" applyAlignment="1">
      <alignment wrapText="1"/>
    </xf>
    <xf numFmtId="0" fontId="3" fillId="4" borderId="0" xfId="0" applyNumberFormat="1" applyFont="1" applyFill="1" applyBorder="1" applyAlignment="1">
      <alignment vertical="center"/>
    </xf>
    <xf numFmtId="0" fontId="4" fillId="5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164" fontId="4" fillId="5" borderId="0" xfId="0" applyNumberFormat="1" applyFont="1" applyFill="1" applyBorder="1" applyAlignment="1">
      <alignment horizontal="right" vertical="center"/>
    </xf>
    <xf numFmtId="164" fontId="5" fillId="0" borderId="0" xfId="0" applyNumberFormat="1" applyFont="1" applyFill="1" applyBorder="1" applyAlignment="1">
      <alignment horizontal="right" vertical="center"/>
    </xf>
    <xf numFmtId="165" fontId="4" fillId="5" borderId="0" xfId="0" applyNumberFormat="1" applyFont="1" applyFill="1" applyBorder="1" applyAlignment="1">
      <alignment horizontal="right" vertical="center"/>
    </xf>
    <xf numFmtId="166" fontId="4" fillId="5" borderId="0" xfId="0" applyNumberFormat="1" applyFont="1" applyFill="1" applyBorder="1" applyAlignment="1">
      <alignment horizontal="right" vertical="center"/>
    </xf>
    <xf numFmtId="0" fontId="6" fillId="6" borderId="0" xfId="0" applyNumberFormat="1" applyFont="1" applyFill="1" applyBorder="1"/>
    <xf numFmtId="0" fontId="8" fillId="7" borderId="0" xfId="0" applyNumberFormat="1" applyFont="1" applyFill="1" applyBorder="1" applyAlignment="1">
      <alignment horizontal="right"/>
    </xf>
    <xf numFmtId="167" fontId="8" fillId="7" borderId="0" xfId="0" applyNumberFormat="1" applyFont="1" applyFill="1" applyBorder="1" applyAlignment="1">
      <alignment horizontal="right"/>
    </xf>
    <xf numFmtId="164" fontId="8" fillId="7" borderId="0" xfId="0" applyNumberFormat="1" applyFont="1" applyFill="1" applyBorder="1" applyAlignment="1">
      <alignment horizontal="right"/>
    </xf>
    <xf numFmtId="0" fontId="8" fillId="7" borderId="0" xfId="0" applyNumberFormat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6" fillId="8" borderId="0" xfId="0" applyNumberFormat="1" applyFont="1" applyFill="1" applyBorder="1" applyAlignment="1">
      <alignment wrapText="1"/>
    </xf>
    <xf numFmtId="165" fontId="0" fillId="0" borderId="0" xfId="0" applyNumberFormat="1" applyFont="1" applyFill="1" applyBorder="1"/>
    <xf numFmtId="164" fontId="0" fillId="0" borderId="0" xfId="0" applyNumberFormat="1" applyFont="1" applyFill="1" applyBorder="1"/>
    <xf numFmtId="167" fontId="0" fillId="0" borderId="0" xfId="0" applyNumberFormat="1" applyFont="1" applyFill="1" applyBorder="1"/>
    <xf numFmtId="0" fontId="10" fillId="5" borderId="0" xfId="0" applyNumberFormat="1" applyFont="1" applyFill="1" applyBorder="1" applyAlignment="1">
      <alignment wrapText="1"/>
    </xf>
    <xf numFmtId="166" fontId="9" fillId="0" borderId="0" xfId="0" applyNumberFormat="1" applyFont="1" applyFill="1" applyBorder="1" applyAlignment="1">
      <alignment horizontal="right" vertical="center"/>
    </xf>
    <xf numFmtId="0" fontId="11" fillId="9" borderId="0" xfId="0" applyFont="1" applyFill="1"/>
    <xf numFmtId="0" fontId="3" fillId="4" borderId="0" xfId="0" applyNumberFormat="1" applyFont="1" applyFill="1" applyBorder="1" applyAlignment="1">
      <alignment vertical="center"/>
    </xf>
    <xf numFmtId="0" fontId="2" fillId="3" borderId="0" xfId="0" applyNumberFormat="1" applyFont="1" applyFill="1" applyBorder="1" applyAlignment="1">
      <alignment wrapText="1"/>
    </xf>
    <xf numFmtId="0" fontId="1" fillId="2" borderId="0" xfId="0" applyNumberFormat="1" applyFont="1" applyFill="1" applyBorder="1" applyAlignment="1">
      <alignment vertical="center"/>
    </xf>
    <xf numFmtId="0" fontId="6" fillId="4" borderId="0" xfId="0" applyNumberFormat="1" applyFont="1" applyFill="1" applyBorder="1" applyAlignment="1">
      <alignment vertical="center"/>
    </xf>
    <xf numFmtId="0" fontId="7" fillId="3" borderId="0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4">
    <dxf>
      <font>
        <b/>
        <color rgb="FFC00000"/>
      </font>
      <fill>
        <patternFill patternType="solid">
          <bgColor rgb="FFFCE4D6"/>
        </patternFill>
      </fill>
    </dxf>
    <dxf>
      <font>
        <b/>
      </font>
      <fill>
        <patternFill patternType="solid">
          <bgColor rgb="FFE2F0D9"/>
        </patternFill>
      </fill>
    </dxf>
    <dxf>
      <font>
        <b/>
      </font>
      <fill>
        <patternFill patternType="solid">
          <bgColor rgb="FFDDEBF7"/>
        </patternFill>
      </fill>
    </dxf>
    <dxf>
      <font>
        <color rgb="FFA6A6A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US"/>
              <a:t>PV Cost Comparison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Series 1</c:v>
          </c:tx>
          <c:invertIfNegative val="1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'NAL Simulator'!$D$24:$D$25</c:f>
              <c:strCache>
                <c:ptCount val="2"/>
                <c:pt idx="0">
                  <c:v>PV Cost to Lease</c:v>
                </c:pt>
                <c:pt idx="1">
                  <c:v>PV Cost to Own</c:v>
                </c:pt>
              </c:strCache>
            </c:strRef>
          </c:cat>
          <c:val>
            <c:numRef>
              <c:f>'NAL Simulator'!$E$24:$E$25</c:f>
              <c:numCache>
                <c:formatCode>\$#,##0;[Red]\(\$#,##0\);\-</c:formatCode>
                <c:ptCount val="2"/>
                <c:pt idx="0">
                  <c:v>92672.003282445818</c:v>
                </c:pt>
                <c:pt idx="1">
                  <c:v>93479.564113810309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40-4C08-A50C-DEEF03556DD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  <c:min val="0"/>
        </c:scaling>
        <c:delete val="1"/>
        <c:axPos val="l"/>
        <c:numFmt formatCode="\$#,##0;[Red]\(\$#,##0\);\-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</xdr:row>
      <xdr:rowOff>85725</xdr:rowOff>
    </xdr:from>
    <xdr:to>
      <xdr:col>6</xdr:col>
      <xdr:colOff>638175</xdr:colOff>
      <xdr:row>16</xdr:row>
      <xdr:rowOff>28575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48EA9AB9-F5D4-4D0B-9F69-1427423EC4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workbookViewId="0">
      <selection activeCell="B24" sqref="B24"/>
    </sheetView>
  </sheetViews>
  <sheetFormatPr defaultRowHeight="14.25"/>
  <cols>
    <col min="1" max="1" width="34" customWidth="1"/>
    <col min="2" max="2" width="18" customWidth="1"/>
    <col min="3" max="4" width="28" customWidth="1"/>
    <col min="5" max="5" width="30" customWidth="1"/>
    <col min="6" max="6" width="18" customWidth="1"/>
    <col min="7" max="7" width="28" customWidth="1"/>
    <col min="8" max="8" width="24" customWidth="1"/>
  </cols>
  <sheetData>
    <row r="1" spans="1:8" ht="27.95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ht="42" customHeight="1">
      <c r="A2" s="26" t="s">
        <v>1</v>
      </c>
      <c r="B2" s="26"/>
      <c r="C2" s="26"/>
      <c r="D2" s="26"/>
      <c r="E2" s="26"/>
      <c r="F2" s="26"/>
      <c r="G2" s="26"/>
      <c r="H2" s="26"/>
    </row>
    <row r="4" spans="1:8" ht="15">
      <c r="A4" s="25" t="s">
        <v>2</v>
      </c>
      <c r="B4" s="25"/>
      <c r="C4" s="25"/>
      <c r="E4" s="25" t="s">
        <v>3</v>
      </c>
      <c r="F4" s="25"/>
      <c r="G4" s="25"/>
    </row>
    <row r="5" spans="1:8">
      <c r="A5" s="5" t="s">
        <v>4</v>
      </c>
      <c r="B5" s="6">
        <v>90000</v>
      </c>
      <c r="C5" s="1" t="s">
        <v>5</v>
      </c>
      <c r="E5" s="5" t="s">
        <v>6</v>
      </c>
      <c r="F5" s="6">
        <v>22000</v>
      </c>
      <c r="G5" s="1" t="s">
        <v>5</v>
      </c>
    </row>
    <row r="6" spans="1:8">
      <c r="A6" s="5" t="s">
        <v>7</v>
      </c>
      <c r="B6" s="6">
        <v>4000</v>
      </c>
      <c r="C6" s="1" t="s">
        <v>5</v>
      </c>
      <c r="E6" s="5" t="s">
        <v>8</v>
      </c>
      <c r="F6" s="8">
        <v>5</v>
      </c>
      <c r="G6" s="1" t="s">
        <v>5</v>
      </c>
    </row>
    <row r="7" spans="1:8">
      <c r="A7" s="5" t="s">
        <v>9</v>
      </c>
      <c r="B7" s="6">
        <v>6000</v>
      </c>
      <c r="C7" s="1" t="s">
        <v>5</v>
      </c>
      <c r="E7" s="5" t="s">
        <v>10</v>
      </c>
      <c r="F7" s="3" t="s">
        <v>11</v>
      </c>
      <c r="G7" s="1" t="s">
        <v>12</v>
      </c>
    </row>
    <row r="8" spans="1:8">
      <c r="A8" s="5" t="s">
        <v>13</v>
      </c>
      <c r="B8" s="7">
        <f>SUM(B5:B7)</f>
        <v>100000</v>
      </c>
      <c r="C8" s="1" t="s">
        <v>14</v>
      </c>
      <c r="E8" s="5" t="s">
        <v>15</v>
      </c>
      <c r="F8" s="3" t="s">
        <v>16</v>
      </c>
      <c r="G8" s="1" t="s">
        <v>5</v>
      </c>
    </row>
    <row r="9" spans="1:8" ht="24">
      <c r="A9" s="5" t="s">
        <v>17</v>
      </c>
      <c r="B9" s="6">
        <v>2000</v>
      </c>
      <c r="C9" s="1" t="s">
        <v>5</v>
      </c>
      <c r="E9" s="5" t="s">
        <v>18</v>
      </c>
      <c r="F9" s="6">
        <v>0</v>
      </c>
      <c r="G9" s="1" t="s">
        <v>19</v>
      </c>
    </row>
    <row r="10" spans="1:8">
      <c r="A10" s="5" t="s">
        <v>20</v>
      </c>
      <c r="B10" s="6">
        <v>0</v>
      </c>
      <c r="C10" s="1" t="s">
        <v>21</v>
      </c>
      <c r="E10" s="5" t="s">
        <v>22</v>
      </c>
      <c r="F10" s="6">
        <v>0</v>
      </c>
      <c r="G10" s="1" t="s">
        <v>21</v>
      </c>
    </row>
    <row r="11" spans="1:8">
      <c r="A11" s="5" t="s">
        <v>23</v>
      </c>
      <c r="B11" s="6">
        <v>20000</v>
      </c>
      <c r="C11" s="1" t="s">
        <v>5</v>
      </c>
    </row>
    <row r="12" spans="1:8">
      <c r="A12" s="5"/>
      <c r="C12" s="1"/>
    </row>
    <row r="13" spans="1:8" ht="15">
      <c r="A13" s="28" t="s">
        <v>24</v>
      </c>
      <c r="B13" s="25"/>
      <c r="C13" s="29"/>
    </row>
    <row r="14" spans="1:8">
      <c r="A14" s="5" t="s">
        <v>25</v>
      </c>
      <c r="B14" s="9">
        <v>0.06</v>
      </c>
      <c r="C14" s="1" t="s">
        <v>26</v>
      </c>
    </row>
    <row r="15" spans="1:8">
      <c r="A15" s="5" t="s">
        <v>27</v>
      </c>
      <c r="B15" s="8">
        <v>20</v>
      </c>
      <c r="C15" s="1" t="s">
        <v>28</v>
      </c>
    </row>
    <row r="17" spans="1:8" ht="15">
      <c r="A17" s="25" t="s">
        <v>29</v>
      </c>
      <c r="B17" s="25"/>
      <c r="C17" s="25"/>
      <c r="D17" s="25"/>
      <c r="E17" s="25"/>
      <c r="F17" s="25"/>
      <c r="G17" s="25"/>
      <c r="H17" s="25"/>
    </row>
    <row r="18" spans="1:8" ht="15">
      <c r="A18" s="10" t="s">
        <v>30</v>
      </c>
      <c r="B18" s="12">
        <f>IF(B14=0,F6,IF(F7="Beginning of Year",((1-(1+B14)^-F6)/B14)*(1+B14),(1-(1+B14)^-F6)/B14))</f>
        <v>4.212363785565719</v>
      </c>
      <c r="D18" s="26" t="s">
        <v>31</v>
      </c>
      <c r="E18" s="26"/>
      <c r="F18" s="26"/>
      <c r="G18" s="26"/>
      <c r="H18" s="26"/>
    </row>
    <row r="19" spans="1:8" ht="15">
      <c r="A19" s="10" t="s">
        <v>32</v>
      </c>
      <c r="B19" s="13">
        <f>(F5+F9)*B18+F10/(1+B14)^F6</f>
        <v>92672.003282445818</v>
      </c>
      <c r="D19" s="26"/>
      <c r="E19" s="26"/>
      <c r="F19" s="26"/>
      <c r="G19" s="26"/>
      <c r="H19" s="26"/>
    </row>
    <row r="20" spans="1:8" ht="15">
      <c r="A20" s="10" t="s">
        <v>33</v>
      </c>
      <c r="B20" s="13">
        <f>B9*IF(B14=0,F6,(1-(1+B14)^-F6)/B14)</f>
        <v>8424.7275711314378</v>
      </c>
      <c r="D20" s="26"/>
      <c r="E20" s="26"/>
      <c r="F20" s="26"/>
      <c r="G20" s="26"/>
      <c r="H20" s="26"/>
    </row>
    <row r="21" spans="1:8" ht="15">
      <c r="A21" s="10" t="s">
        <v>34</v>
      </c>
      <c r="B21" s="13">
        <f>B10*IF(B14=0,F6,(1-(1+B14)^-F6)/B14)</f>
        <v>0</v>
      </c>
      <c r="D21" s="26"/>
      <c r="E21" s="26"/>
      <c r="F21" s="26"/>
      <c r="G21" s="26"/>
      <c r="H21" s="26"/>
    </row>
    <row r="22" spans="1:8" ht="15">
      <c r="A22" s="10" t="s">
        <v>35</v>
      </c>
      <c r="B22" s="13">
        <f>B11/(1+B14)^F6</f>
        <v>14945.163457321138</v>
      </c>
    </row>
    <row r="23" spans="1:8" ht="15">
      <c r="A23" s="10" t="s">
        <v>36</v>
      </c>
      <c r="B23" s="13">
        <f>B8+B20+B21-B22</f>
        <v>93479.564113810309</v>
      </c>
      <c r="D23" s="25" t="s">
        <v>37</v>
      </c>
      <c r="E23" s="25"/>
      <c r="F23" s="25"/>
      <c r="G23" s="25"/>
      <c r="H23" s="25"/>
    </row>
    <row r="24" spans="1:8" ht="15">
      <c r="A24" s="10" t="s">
        <v>38</v>
      </c>
      <c r="B24" s="13">
        <f>B23-B19</f>
        <v>807.56083136449161</v>
      </c>
      <c r="D24" s="10" t="s">
        <v>32</v>
      </c>
      <c r="E24" s="16">
        <f>B19</f>
        <v>92672.003282445818</v>
      </c>
      <c r="G24" s="10" t="s">
        <v>39</v>
      </c>
      <c r="H24" s="15" t="str">
        <f>Sensitivity!B4</f>
        <v>SENSITIVE</v>
      </c>
    </row>
    <row r="25" spans="1:8" ht="15">
      <c r="A25" s="10" t="s">
        <v>40</v>
      </c>
      <c r="B25" s="14" t="str">
        <f>IF(B24&gt;0,"LEASE",IF(B24&lt;0,"FINANCE / BUY","FINANCIAL TIE"))</f>
        <v>LEASE</v>
      </c>
      <c r="D25" s="10" t="s">
        <v>36</v>
      </c>
      <c r="E25" s="16">
        <f>B23</f>
        <v>93479.564113810309</v>
      </c>
      <c r="G25" s="10" t="s">
        <v>41</v>
      </c>
      <c r="H25" s="15" t="s">
        <v>42</v>
      </c>
    </row>
    <row r="26" spans="1:8" ht="15">
      <c r="A26" s="10" t="s">
        <v>43</v>
      </c>
      <c r="B26" s="13">
        <f>((B23-F10/(1+B14)^F6)/B18)-F9</f>
        <v>22191.712034495147</v>
      </c>
      <c r="D26" s="10" t="s">
        <v>44</v>
      </c>
      <c r="E26" s="16">
        <f>B24</f>
        <v>807.56083136449161</v>
      </c>
      <c r="G26" s="10" t="s">
        <v>45</v>
      </c>
      <c r="H26" s="15" t="s">
        <v>46</v>
      </c>
    </row>
    <row r="27" spans="1:8" ht="15">
      <c r="A27" s="10" t="s">
        <v>47</v>
      </c>
      <c r="B27" s="13">
        <f>F5-B26</f>
        <v>-191.71203449514724</v>
      </c>
      <c r="D27" s="10" t="s">
        <v>40</v>
      </c>
      <c r="E27" s="17" t="str">
        <f>B25</f>
        <v>LEASE</v>
      </c>
    </row>
    <row r="28" spans="1:8">
      <c r="D28" s="10" t="s">
        <v>48</v>
      </c>
      <c r="E28" s="16">
        <f>F5</f>
        <v>22000</v>
      </c>
    </row>
    <row r="29" spans="1:8">
      <c r="D29" s="10" t="s">
        <v>49</v>
      </c>
      <c r="E29" s="16">
        <f>B26</f>
        <v>22191.712034495147</v>
      </c>
    </row>
    <row r="32" spans="1:8" ht="15">
      <c r="A32" s="25" t="s">
        <v>50</v>
      </c>
      <c r="B32" s="25"/>
      <c r="C32" s="25"/>
      <c r="D32" s="25"/>
      <c r="E32" s="25"/>
      <c r="F32" s="25"/>
      <c r="G32" s="25"/>
      <c r="H32" s="25"/>
    </row>
    <row r="33" spans="1:8" ht="32.1" customHeight="1">
      <c r="A33" s="18" t="s">
        <v>51</v>
      </c>
      <c r="B33" s="18" t="s">
        <v>52</v>
      </c>
      <c r="C33" s="18" t="s">
        <v>53</v>
      </c>
      <c r="D33" s="18" t="s">
        <v>54</v>
      </c>
      <c r="E33" s="18" t="s">
        <v>55</v>
      </c>
      <c r="F33" s="18" t="s">
        <v>56</v>
      </c>
      <c r="G33" s="18" t="s">
        <v>57</v>
      </c>
      <c r="H33" s="18" t="s">
        <v>58</v>
      </c>
    </row>
    <row r="34" spans="1:8">
      <c r="A34" s="19">
        <v>1</v>
      </c>
      <c r="B34" s="20">
        <f t="shared" ref="B34:B53" si="0">IF(A34&lt;=$F$6,$F$5,0)</f>
        <v>22000</v>
      </c>
      <c r="C34" s="20">
        <f t="shared" ref="C34:C53" si="1">IF(A34&lt;=$F$6,$F$9,0)</f>
        <v>0</v>
      </c>
      <c r="D34" s="21">
        <f t="shared" ref="D34:D53" si="2">IF(A34&lt;=$F$6,IF($F$7="Beginning of Year",1/(1+$B$14)^(A34-1),1/(1+$B$14)^A34),0)</f>
        <v>0.94339622641509424</v>
      </c>
      <c r="E34" s="20">
        <f t="shared" ref="E34:E53" si="3">IF(A34&lt;=$F$6,(B34+C34)*D34+IF(A34=$F$6,$F$10/(1+$B$14)^A34,0),0)</f>
        <v>20754.716981132075</v>
      </c>
      <c r="F34" s="20">
        <f t="shared" ref="F34:F53" si="4">IF(A34&lt;=$F$6,$B$9+$B$10,0)</f>
        <v>2000</v>
      </c>
      <c r="G34" s="20">
        <f t="shared" ref="G34:G53" si="5">IF(A34&lt;=$F$6,F34/(1+$B$14)^A34,0)</f>
        <v>1886.7924528301885</v>
      </c>
      <c r="H34" s="20">
        <f t="shared" ref="H34:H53" si="6">IF(A34=$F$6,$B$11,0)</f>
        <v>0</v>
      </c>
    </row>
    <row r="35" spans="1:8">
      <c r="A35" s="19">
        <v>2</v>
      </c>
      <c r="B35" s="20">
        <f t="shared" si="0"/>
        <v>22000</v>
      </c>
      <c r="C35" s="20">
        <f t="shared" si="1"/>
        <v>0</v>
      </c>
      <c r="D35" s="21">
        <f t="shared" si="2"/>
        <v>0.88999644001423983</v>
      </c>
      <c r="E35" s="20">
        <f t="shared" si="3"/>
        <v>19579.921680313277</v>
      </c>
      <c r="F35" s="20">
        <f t="shared" si="4"/>
        <v>2000</v>
      </c>
      <c r="G35" s="20">
        <f t="shared" si="5"/>
        <v>1779.9928800284797</v>
      </c>
      <c r="H35" s="20">
        <f t="shared" si="6"/>
        <v>0</v>
      </c>
    </row>
    <row r="36" spans="1:8">
      <c r="A36" s="19">
        <v>3</v>
      </c>
      <c r="B36" s="20">
        <f t="shared" si="0"/>
        <v>22000</v>
      </c>
      <c r="C36" s="20">
        <f t="shared" si="1"/>
        <v>0</v>
      </c>
      <c r="D36" s="21">
        <f t="shared" si="2"/>
        <v>0.8396192830323016</v>
      </c>
      <c r="E36" s="20">
        <f t="shared" si="3"/>
        <v>18471.624226710635</v>
      </c>
      <c r="F36" s="20">
        <f t="shared" si="4"/>
        <v>2000</v>
      </c>
      <c r="G36" s="20">
        <f t="shared" si="5"/>
        <v>1679.2385660646032</v>
      </c>
      <c r="H36" s="20">
        <f t="shared" si="6"/>
        <v>0</v>
      </c>
    </row>
    <row r="37" spans="1:8">
      <c r="A37" s="19">
        <v>4</v>
      </c>
      <c r="B37" s="20">
        <f t="shared" si="0"/>
        <v>22000</v>
      </c>
      <c r="C37" s="20">
        <f t="shared" si="1"/>
        <v>0</v>
      </c>
      <c r="D37" s="21">
        <f t="shared" si="2"/>
        <v>0.79209366323802044</v>
      </c>
      <c r="E37" s="20">
        <f t="shared" si="3"/>
        <v>17426.060591236448</v>
      </c>
      <c r="F37" s="20">
        <f t="shared" si="4"/>
        <v>2000</v>
      </c>
      <c r="G37" s="20">
        <f t="shared" si="5"/>
        <v>1584.1873264760409</v>
      </c>
      <c r="H37" s="20">
        <f t="shared" si="6"/>
        <v>0</v>
      </c>
    </row>
    <row r="38" spans="1:8">
      <c r="A38" s="19">
        <v>5</v>
      </c>
      <c r="B38" s="20">
        <f t="shared" si="0"/>
        <v>22000</v>
      </c>
      <c r="C38" s="20">
        <f t="shared" si="1"/>
        <v>0</v>
      </c>
      <c r="D38" s="21">
        <f t="shared" si="2"/>
        <v>0.74725817286605689</v>
      </c>
      <c r="E38" s="20">
        <f t="shared" si="3"/>
        <v>16439.679803053252</v>
      </c>
      <c r="F38" s="20">
        <f t="shared" si="4"/>
        <v>2000</v>
      </c>
      <c r="G38" s="20">
        <f t="shared" si="5"/>
        <v>1494.5163457321137</v>
      </c>
      <c r="H38" s="20">
        <f t="shared" si="6"/>
        <v>20000</v>
      </c>
    </row>
    <row r="39" spans="1:8">
      <c r="A39" s="19">
        <v>6</v>
      </c>
      <c r="B39" s="20">
        <f t="shared" si="0"/>
        <v>0</v>
      </c>
      <c r="C39" s="20">
        <f t="shared" si="1"/>
        <v>0</v>
      </c>
      <c r="D39" s="21">
        <f t="shared" si="2"/>
        <v>0</v>
      </c>
      <c r="E39" s="20">
        <f t="shared" si="3"/>
        <v>0</v>
      </c>
      <c r="F39" s="20">
        <f t="shared" si="4"/>
        <v>0</v>
      </c>
      <c r="G39" s="20">
        <f t="shared" si="5"/>
        <v>0</v>
      </c>
      <c r="H39" s="20">
        <f t="shared" si="6"/>
        <v>0</v>
      </c>
    </row>
    <row r="40" spans="1:8">
      <c r="A40" s="19">
        <v>7</v>
      </c>
      <c r="B40" s="20">
        <f t="shared" si="0"/>
        <v>0</v>
      </c>
      <c r="C40" s="20">
        <f t="shared" si="1"/>
        <v>0</v>
      </c>
      <c r="D40" s="21">
        <f t="shared" si="2"/>
        <v>0</v>
      </c>
      <c r="E40" s="20">
        <f t="shared" si="3"/>
        <v>0</v>
      </c>
      <c r="F40" s="20">
        <f t="shared" si="4"/>
        <v>0</v>
      </c>
      <c r="G40" s="20">
        <f t="shared" si="5"/>
        <v>0</v>
      </c>
      <c r="H40" s="20">
        <f t="shared" si="6"/>
        <v>0</v>
      </c>
    </row>
    <row r="41" spans="1:8">
      <c r="A41" s="19">
        <v>8</v>
      </c>
      <c r="B41" s="20">
        <f t="shared" si="0"/>
        <v>0</v>
      </c>
      <c r="C41" s="20">
        <f t="shared" si="1"/>
        <v>0</v>
      </c>
      <c r="D41" s="21">
        <f t="shared" si="2"/>
        <v>0</v>
      </c>
      <c r="E41" s="20">
        <f t="shared" si="3"/>
        <v>0</v>
      </c>
      <c r="F41" s="20">
        <f t="shared" si="4"/>
        <v>0</v>
      </c>
      <c r="G41" s="20">
        <f t="shared" si="5"/>
        <v>0</v>
      </c>
      <c r="H41" s="20">
        <f t="shared" si="6"/>
        <v>0</v>
      </c>
    </row>
    <row r="42" spans="1:8">
      <c r="A42" s="19">
        <v>9</v>
      </c>
      <c r="B42" s="20">
        <f t="shared" si="0"/>
        <v>0</v>
      </c>
      <c r="C42" s="20">
        <f t="shared" si="1"/>
        <v>0</v>
      </c>
      <c r="D42" s="21">
        <f t="shared" si="2"/>
        <v>0</v>
      </c>
      <c r="E42" s="20">
        <f t="shared" si="3"/>
        <v>0</v>
      </c>
      <c r="F42" s="20">
        <f t="shared" si="4"/>
        <v>0</v>
      </c>
      <c r="G42" s="20">
        <f t="shared" si="5"/>
        <v>0</v>
      </c>
      <c r="H42" s="20">
        <f t="shared" si="6"/>
        <v>0</v>
      </c>
    </row>
    <row r="43" spans="1:8">
      <c r="A43" s="19">
        <v>10</v>
      </c>
      <c r="B43" s="20">
        <f t="shared" si="0"/>
        <v>0</v>
      </c>
      <c r="C43" s="20">
        <f t="shared" si="1"/>
        <v>0</v>
      </c>
      <c r="D43" s="21">
        <f t="shared" si="2"/>
        <v>0</v>
      </c>
      <c r="E43" s="20">
        <f t="shared" si="3"/>
        <v>0</v>
      </c>
      <c r="F43" s="20">
        <f t="shared" si="4"/>
        <v>0</v>
      </c>
      <c r="G43" s="20">
        <f t="shared" si="5"/>
        <v>0</v>
      </c>
      <c r="H43" s="20">
        <f t="shared" si="6"/>
        <v>0</v>
      </c>
    </row>
    <row r="44" spans="1:8">
      <c r="A44" s="19">
        <v>11</v>
      </c>
      <c r="B44" s="20">
        <f t="shared" si="0"/>
        <v>0</v>
      </c>
      <c r="C44" s="20">
        <f t="shared" si="1"/>
        <v>0</v>
      </c>
      <c r="D44" s="21">
        <f t="shared" si="2"/>
        <v>0</v>
      </c>
      <c r="E44" s="20">
        <f t="shared" si="3"/>
        <v>0</v>
      </c>
      <c r="F44" s="20">
        <f t="shared" si="4"/>
        <v>0</v>
      </c>
      <c r="G44" s="20">
        <f t="shared" si="5"/>
        <v>0</v>
      </c>
      <c r="H44" s="20">
        <f t="shared" si="6"/>
        <v>0</v>
      </c>
    </row>
    <row r="45" spans="1:8">
      <c r="A45" s="19">
        <v>12</v>
      </c>
      <c r="B45" s="20">
        <f t="shared" si="0"/>
        <v>0</v>
      </c>
      <c r="C45" s="20">
        <f t="shared" si="1"/>
        <v>0</v>
      </c>
      <c r="D45" s="21">
        <f t="shared" si="2"/>
        <v>0</v>
      </c>
      <c r="E45" s="20">
        <f t="shared" si="3"/>
        <v>0</v>
      </c>
      <c r="F45" s="20">
        <f t="shared" si="4"/>
        <v>0</v>
      </c>
      <c r="G45" s="20">
        <f t="shared" si="5"/>
        <v>0</v>
      </c>
      <c r="H45" s="20">
        <f t="shared" si="6"/>
        <v>0</v>
      </c>
    </row>
    <row r="46" spans="1:8">
      <c r="A46" s="19">
        <v>13</v>
      </c>
      <c r="B46" s="20">
        <f t="shared" si="0"/>
        <v>0</v>
      </c>
      <c r="C46" s="20">
        <f t="shared" si="1"/>
        <v>0</v>
      </c>
      <c r="D46" s="21">
        <f t="shared" si="2"/>
        <v>0</v>
      </c>
      <c r="E46" s="20">
        <f t="shared" si="3"/>
        <v>0</v>
      </c>
      <c r="F46" s="20">
        <f t="shared" si="4"/>
        <v>0</v>
      </c>
      <c r="G46" s="20">
        <f t="shared" si="5"/>
        <v>0</v>
      </c>
      <c r="H46" s="20">
        <f t="shared" si="6"/>
        <v>0</v>
      </c>
    </row>
    <row r="47" spans="1:8">
      <c r="A47" s="19">
        <v>14</v>
      </c>
      <c r="B47" s="20">
        <f t="shared" si="0"/>
        <v>0</v>
      </c>
      <c r="C47" s="20">
        <f t="shared" si="1"/>
        <v>0</v>
      </c>
      <c r="D47" s="21">
        <f t="shared" si="2"/>
        <v>0</v>
      </c>
      <c r="E47" s="20">
        <f t="shared" si="3"/>
        <v>0</v>
      </c>
      <c r="F47" s="20">
        <f t="shared" si="4"/>
        <v>0</v>
      </c>
      <c r="G47" s="20">
        <f t="shared" si="5"/>
        <v>0</v>
      </c>
      <c r="H47" s="20">
        <f t="shared" si="6"/>
        <v>0</v>
      </c>
    </row>
    <row r="48" spans="1:8">
      <c r="A48" s="19">
        <v>15</v>
      </c>
      <c r="B48" s="20">
        <f t="shared" si="0"/>
        <v>0</v>
      </c>
      <c r="C48" s="20">
        <f t="shared" si="1"/>
        <v>0</v>
      </c>
      <c r="D48" s="21">
        <f t="shared" si="2"/>
        <v>0</v>
      </c>
      <c r="E48" s="20">
        <f t="shared" si="3"/>
        <v>0</v>
      </c>
      <c r="F48" s="20">
        <f t="shared" si="4"/>
        <v>0</v>
      </c>
      <c r="G48" s="20">
        <f t="shared" si="5"/>
        <v>0</v>
      </c>
      <c r="H48" s="20">
        <f t="shared" si="6"/>
        <v>0</v>
      </c>
    </row>
    <row r="49" spans="1:8">
      <c r="A49" s="19">
        <v>16</v>
      </c>
      <c r="B49" s="20">
        <f t="shared" si="0"/>
        <v>0</v>
      </c>
      <c r="C49" s="20">
        <f t="shared" si="1"/>
        <v>0</v>
      </c>
      <c r="D49" s="21">
        <f t="shared" si="2"/>
        <v>0</v>
      </c>
      <c r="E49" s="20">
        <f t="shared" si="3"/>
        <v>0</v>
      </c>
      <c r="F49" s="20">
        <f t="shared" si="4"/>
        <v>0</v>
      </c>
      <c r="G49" s="20">
        <f t="shared" si="5"/>
        <v>0</v>
      </c>
      <c r="H49" s="20">
        <f t="shared" si="6"/>
        <v>0</v>
      </c>
    </row>
    <row r="50" spans="1:8">
      <c r="A50" s="19">
        <v>17</v>
      </c>
      <c r="B50" s="20">
        <f t="shared" si="0"/>
        <v>0</v>
      </c>
      <c r="C50" s="20">
        <f t="shared" si="1"/>
        <v>0</v>
      </c>
      <c r="D50" s="21">
        <f t="shared" si="2"/>
        <v>0</v>
      </c>
      <c r="E50" s="20">
        <f t="shared" si="3"/>
        <v>0</v>
      </c>
      <c r="F50" s="20">
        <f t="shared" si="4"/>
        <v>0</v>
      </c>
      <c r="G50" s="20">
        <f t="shared" si="5"/>
        <v>0</v>
      </c>
      <c r="H50" s="20">
        <f t="shared" si="6"/>
        <v>0</v>
      </c>
    </row>
    <row r="51" spans="1:8">
      <c r="A51" s="19">
        <v>18</v>
      </c>
      <c r="B51" s="20">
        <f t="shared" si="0"/>
        <v>0</v>
      </c>
      <c r="C51" s="20">
        <f t="shared" si="1"/>
        <v>0</v>
      </c>
      <c r="D51" s="21">
        <f t="shared" si="2"/>
        <v>0</v>
      </c>
      <c r="E51" s="20">
        <f t="shared" si="3"/>
        <v>0</v>
      </c>
      <c r="F51" s="20">
        <f t="shared" si="4"/>
        <v>0</v>
      </c>
      <c r="G51" s="20">
        <f t="shared" si="5"/>
        <v>0</v>
      </c>
      <c r="H51" s="20">
        <f t="shared" si="6"/>
        <v>0</v>
      </c>
    </row>
    <row r="52" spans="1:8">
      <c r="A52" s="19">
        <v>19</v>
      </c>
      <c r="B52" s="20">
        <f t="shared" si="0"/>
        <v>0</v>
      </c>
      <c r="C52" s="20">
        <f t="shared" si="1"/>
        <v>0</v>
      </c>
      <c r="D52" s="21">
        <f t="shared" si="2"/>
        <v>0</v>
      </c>
      <c r="E52" s="20">
        <f t="shared" si="3"/>
        <v>0</v>
      </c>
      <c r="F52" s="20">
        <f t="shared" si="4"/>
        <v>0</v>
      </c>
      <c r="G52" s="20">
        <f t="shared" si="5"/>
        <v>0</v>
      </c>
      <c r="H52" s="20">
        <f t="shared" si="6"/>
        <v>0</v>
      </c>
    </row>
    <row r="53" spans="1:8">
      <c r="A53" s="19">
        <v>20</v>
      </c>
      <c r="B53" s="20">
        <f t="shared" si="0"/>
        <v>0</v>
      </c>
      <c r="C53" s="20">
        <f t="shared" si="1"/>
        <v>0</v>
      </c>
      <c r="D53" s="21">
        <f t="shared" si="2"/>
        <v>0</v>
      </c>
      <c r="E53" s="20">
        <f t="shared" si="3"/>
        <v>0</v>
      </c>
      <c r="F53" s="20">
        <f t="shared" si="4"/>
        <v>0</v>
      </c>
      <c r="G53" s="20">
        <f t="shared" si="5"/>
        <v>0</v>
      </c>
      <c r="H53" s="20">
        <f t="shared" si="6"/>
        <v>0</v>
      </c>
    </row>
  </sheetData>
  <mergeCells count="9">
    <mergeCell ref="A17:H17"/>
    <mergeCell ref="D18:H21"/>
    <mergeCell ref="D23:H23"/>
    <mergeCell ref="A32:H32"/>
    <mergeCell ref="A1:H1"/>
    <mergeCell ref="A2:H2"/>
    <mergeCell ref="A4:C4"/>
    <mergeCell ref="E4:G4"/>
    <mergeCell ref="A13:C13"/>
  </mergeCells>
  <conditionalFormatting sqref="A34:H53">
    <cfRule type="expression" dxfId="3" priority="1">
      <formula>A34&gt;$F$6</formula>
    </cfRule>
  </conditionalFormatting>
  <conditionalFormatting sqref="B24">
    <cfRule type="cellIs" dxfId="2" priority="2" operator="greaterThan">
      <formula>0</formula>
    </cfRule>
    <cfRule type="cellIs" dxfId="1" priority="3" operator="lessThan">
      <formula>0</formula>
    </cfRule>
  </conditionalFormatting>
  <dataValidations count="3">
    <dataValidation type="list" sqref="F7" xr:uid="{00000000-0002-0000-0000-000000000000}">
      <formula1>"End of Year,Beginning of Year"</formula1>
    </dataValidation>
    <dataValidation type="list" sqref="F8" xr:uid="{00000000-0002-0000-0000-000001000000}">
      <formula1>"Yes,No"</formula1>
    </dataValidation>
    <dataValidation sqref="F6" xr:uid="{00000000-0002-0000-0000-000002000000}">
      <formula1>1</formula1>
      <formula2>20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D44A-0B43-4E47-B165-BDFD5643A1FF}">
  <sheetPr>
    <tabColor rgb="FFFF0000"/>
  </sheetPr>
  <dimension ref="B1:B2"/>
  <sheetViews>
    <sheetView showGridLines="0" workbookViewId="0">
      <selection activeCell="B39" sqref="B39"/>
    </sheetView>
  </sheetViews>
  <sheetFormatPr defaultRowHeight="14.25"/>
  <cols>
    <col min="2" max="2" width="10.875" bestFit="1" customWidth="1"/>
  </cols>
  <sheetData>
    <row r="1" spans="2:2">
      <c r="B1" t="s">
        <v>79</v>
      </c>
    </row>
    <row r="2" spans="2:2" ht="23.25">
      <c r="B2" s="24" t="str">
        <f>'NAL Simulator'!B25</f>
        <v>LEASE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workbookViewId="0"/>
  </sheetViews>
  <sheetFormatPr defaultRowHeight="14.25"/>
  <cols>
    <col min="1" max="1" width="30" customWidth="1"/>
    <col min="2" max="4" width="16" customWidth="1"/>
    <col min="5" max="5" width="38" customWidth="1"/>
    <col min="6" max="6" width="14" customWidth="1"/>
    <col min="7" max="8" width="16" customWidth="1"/>
  </cols>
  <sheetData>
    <row r="1" spans="1:8" ht="27.95" customHeight="1">
      <c r="A1" s="27" t="s">
        <v>59</v>
      </c>
      <c r="B1" s="27"/>
      <c r="C1" s="27"/>
      <c r="D1" s="27"/>
      <c r="E1" s="27"/>
      <c r="F1" s="27"/>
      <c r="G1" s="27"/>
      <c r="H1" s="27"/>
    </row>
    <row r="2" spans="1:8" ht="38.1" customHeight="1">
      <c r="A2" s="26" t="s">
        <v>60</v>
      </c>
      <c r="B2" s="26"/>
      <c r="C2" s="26"/>
      <c r="D2" s="26"/>
      <c r="E2" s="26"/>
      <c r="F2" s="26"/>
      <c r="G2" s="26"/>
      <c r="H2" s="26"/>
    </row>
    <row r="4" spans="1:8" ht="15">
      <c r="A4" s="10" t="s">
        <v>39</v>
      </c>
      <c r="B4" s="11" t="str">
        <f>IF(COUNTIF(F8:F15,"FLIP")&gt;0,"SENSITIVE","NOT SENSITIVE")</f>
        <v>SENSITIVE</v>
      </c>
    </row>
    <row r="6" spans="1:8" ht="15">
      <c r="A6" s="2" t="s">
        <v>61</v>
      </c>
      <c r="B6" s="2" t="s">
        <v>62</v>
      </c>
      <c r="C6" s="2" t="s">
        <v>63</v>
      </c>
      <c r="D6" s="2" t="s">
        <v>64</v>
      </c>
      <c r="E6" s="2" t="s">
        <v>65</v>
      </c>
      <c r="F6" s="2" t="s">
        <v>66</v>
      </c>
      <c r="G6" s="2" t="s">
        <v>67</v>
      </c>
      <c r="H6" s="2" t="s">
        <v>68</v>
      </c>
    </row>
    <row r="8" spans="1:8">
      <c r="A8" s="5" t="s">
        <v>6</v>
      </c>
      <c r="B8" s="16">
        <f>'NAL Simulator'!F5</f>
        <v>22000</v>
      </c>
      <c r="C8" s="6">
        <v>21000</v>
      </c>
      <c r="D8" s="6">
        <v>23000</v>
      </c>
      <c r="E8" s="22" t="s">
        <v>69</v>
      </c>
      <c r="F8" s="4" t="str">
        <f>IF(OR(AND('NAL Simulator'!B24&gt;0,G8&lt;0),AND('NAL Simulator'!B24&gt;0,H8&lt;0),AND('NAL Simulator'!B24&lt;0,G8&gt;0),AND('NAL Simulator'!B24&lt;0,H8&gt;0)),"FLIP","NO FLIP")</f>
        <v>FLIP</v>
      </c>
      <c r="G8" s="7">
        <f>'NAL Simulator'!B23-((C8+'NAL Simulator'!F9)*'NAL Simulator'!B18+'NAL Simulator'!F10/(1+'NAL Simulator'!B14)^'NAL Simulator'!F6)</f>
        <v>5019.924616930206</v>
      </c>
      <c r="H8" s="7">
        <f>'NAL Simulator'!B23-((D8+'NAL Simulator'!F9)*'NAL Simulator'!B18+'NAL Simulator'!F10/(1+'NAL Simulator'!B14)^'NAL Simulator'!F6)</f>
        <v>-3404.8029542012227</v>
      </c>
    </row>
    <row r="9" spans="1:8">
      <c r="A9" s="5" t="s">
        <v>70</v>
      </c>
      <c r="B9" s="16">
        <f>'NAL Simulator'!B11</f>
        <v>20000</v>
      </c>
      <c r="C9" s="6">
        <v>15000</v>
      </c>
      <c r="D9" s="6">
        <v>25000</v>
      </c>
      <c r="E9" s="22" t="s">
        <v>71</v>
      </c>
      <c r="F9" s="4" t="str">
        <f>IF(OR(AND('NAL Simulator'!B24&gt;0,G9&lt;0),AND('NAL Simulator'!B24&gt;0,H9&lt;0),AND('NAL Simulator'!B24&lt;0,G9&gt;0),AND('NAL Simulator'!B24&lt;0,H9&gt;0)),"FLIP","NO FLIP")</f>
        <v>FLIP</v>
      </c>
      <c r="G9" s="7">
        <f>('NAL Simulator'!B8+'NAL Simulator'!B20+'NAL Simulator'!B21-C8/(1+'NAL Simulator'!B14)^'NAL Simulator'!F6)-'NAL Simulator'!B19</f>
        <v>60.30265849843272</v>
      </c>
      <c r="H9" s="7">
        <f>('NAL Simulator'!B8+'NAL Simulator'!B20+'NAL Simulator'!B21-D8/(1+'NAL Simulator'!B14)^'NAL Simulator'!F6)-'NAL Simulator'!B19</f>
        <v>-1434.2136872336851</v>
      </c>
    </row>
    <row r="10" spans="1:8">
      <c r="A10" s="5" t="s">
        <v>17</v>
      </c>
      <c r="B10" s="16">
        <f>'NAL Simulator'!B9</f>
        <v>2000</v>
      </c>
      <c r="C10" s="6">
        <v>1500</v>
      </c>
      <c r="D10" s="6">
        <v>2500</v>
      </c>
      <c r="E10" s="22" t="s">
        <v>72</v>
      </c>
      <c r="F10" s="4" t="str">
        <f>IF(OR(AND('NAL Simulator'!B24&gt;0,G10&lt;0),AND('NAL Simulator'!B24&gt;0,H10&lt;0),AND('NAL Simulator'!B24&lt;0,G10&gt;0),AND('NAL Simulator'!B24&lt;0,H10&gt;0)),"FLIP","NO FLIP")</f>
        <v>FLIP</v>
      </c>
      <c r="G10" s="7">
        <f>('NAL Simulator'!B8+C10*IF('NAL Simulator'!B14=0,'NAL Simulator'!F6,(1-(1+'NAL Simulator'!B14)^-'NAL Simulator'!F6)/'NAL Simulator'!B14)+'NAL Simulator'!B21-'NAL Simulator'!B22)-'NAL Simulator'!B19</f>
        <v>-1298.6210614183801</v>
      </c>
      <c r="H10" s="7">
        <f>('NAL Simulator'!B8+D10*IF('NAL Simulator'!B14=0,'NAL Simulator'!F6,(1-(1+'NAL Simulator'!B14)^-'NAL Simulator'!F6)/'NAL Simulator'!B14)+'NAL Simulator'!B21-'NAL Simulator'!B22)-'NAL Simulator'!B19</f>
        <v>2913.7427241473488</v>
      </c>
    </row>
    <row r="11" spans="1:8">
      <c r="A11" s="5" t="s">
        <v>25</v>
      </c>
      <c r="B11" s="23">
        <f>'NAL Simulator'!B14</f>
        <v>0.06</v>
      </c>
      <c r="C11" s="9">
        <v>0.05</v>
      </c>
      <c r="D11" s="9">
        <v>7.0000000000000007E-2</v>
      </c>
      <c r="E11" s="22" t="s">
        <v>73</v>
      </c>
      <c r="F11" s="4" t="str">
        <f>IF(OR(AND('NAL Simulator'!B24&gt;0,G11&lt;0),AND('NAL Simulator'!B24&gt;0,H11&lt;0),AND('NAL Simulator'!B24&lt;0,G11&gt;0),AND('NAL Simulator'!B24&lt;0,H11&gt;0)),"FLIP","NO FLIP")</f>
        <v>FLIP</v>
      </c>
      <c r="G11" s="7">
        <f>('NAL Simulator'!B8+'NAL Simulator'!B9*IF(C11=0,'NAL Simulator'!F6,(1-(1+C11)^-'NAL Simulator'!F6)/C11)+'NAL Simulator'!B10*IF(C11=0,'NAL Simulator'!F6,(1-(1+C11)^-'NAL Simulator'!F6)/C11)-'NAL Simulator'!B11/(1+C11)^'NAL Simulator'!F6)-((('NAL Simulator'!F5+'NAL Simulator'!F9)*IF(C11=0,'NAL Simulator'!F6,IF('NAL Simulator'!F7="Beginning of Year",((1-(1+C11)^-'NAL Simulator'!F6)/C11)*(1+C11),(1-(1+C11)^-'NAL Simulator'!F6)/C11)))+'NAL Simulator'!F10/(1+C11)^'NAL Simulator'!F6)</f>
        <v>-2260.0567419855943</v>
      </c>
      <c r="H11" s="7">
        <f>('NAL Simulator'!B8+'NAL Simulator'!B9*IF(D11=0,'NAL Simulator'!F6,(1-(1+D11)^-'NAL Simulator'!F6)/D11)+'NAL Simulator'!B10*IF(D11=0,'NAL Simulator'!F6,(1-(1+D11)^-'NAL Simulator'!F6)/D11)-'NAL Simulator'!B11/(1+D11)^'NAL Simulator'!F6)-((('NAL Simulator'!F5+'NAL Simulator'!F9)*IF(D11=0,'NAL Simulator'!F6,IF('NAL Simulator'!F7="Beginning of Year",((1-(1+D11)^-'NAL Simulator'!F6)/D11)*(1+D11),(1-(1+D11)^-'NAL Simulator'!F6)/D11)))+'NAL Simulator'!F10/(1+D11)^'NAL Simulator'!F6)</f>
        <v>3736.3276913747541</v>
      </c>
    </row>
    <row r="12" spans="1:8">
      <c r="A12" s="5"/>
      <c r="C12" s="3"/>
      <c r="D12" s="3"/>
      <c r="E12" s="22"/>
      <c r="F12" s="4"/>
      <c r="G12" s="4"/>
      <c r="H12" s="4"/>
    </row>
    <row r="13" spans="1:8">
      <c r="A13" s="5" t="s">
        <v>74</v>
      </c>
      <c r="C13" s="3"/>
      <c r="D13" s="3"/>
      <c r="E13" s="22" t="s">
        <v>75</v>
      </c>
      <c r="F13" s="4"/>
      <c r="G13" s="4"/>
      <c r="H13" s="4"/>
    </row>
    <row r="14" spans="1:8">
      <c r="A14" s="5" t="s">
        <v>76</v>
      </c>
      <c r="C14" s="3"/>
      <c r="D14" s="3"/>
      <c r="E14" s="22" t="s">
        <v>75</v>
      </c>
      <c r="F14" s="4"/>
      <c r="G14" s="4"/>
      <c r="H14" s="4"/>
    </row>
    <row r="15" spans="1:8">
      <c r="A15" s="5" t="s">
        <v>77</v>
      </c>
      <c r="C15" s="3"/>
      <c r="D15" s="3"/>
      <c r="E15" s="22" t="s">
        <v>75</v>
      </c>
      <c r="F15" s="4"/>
      <c r="G15" s="4"/>
      <c r="H15" s="4"/>
    </row>
    <row r="18" spans="1:8">
      <c r="A18" s="26" t="s">
        <v>78</v>
      </c>
      <c r="B18" s="26"/>
      <c r="C18" s="26"/>
      <c r="D18" s="26"/>
      <c r="E18" s="26"/>
      <c r="F18" s="26"/>
      <c r="G18" s="26"/>
      <c r="H18" s="26"/>
    </row>
    <row r="19" spans="1:8">
      <c r="A19" s="26"/>
      <c r="B19" s="26"/>
      <c r="C19" s="26"/>
      <c r="D19" s="26"/>
      <c r="E19" s="26"/>
      <c r="F19" s="26"/>
      <c r="G19" s="26"/>
      <c r="H19" s="26"/>
    </row>
    <row r="20" spans="1:8">
      <c r="A20" s="26"/>
      <c r="B20" s="26"/>
      <c r="C20" s="26"/>
      <c r="D20" s="26"/>
      <c r="E20" s="26"/>
      <c r="F20" s="26"/>
      <c r="G20" s="26"/>
      <c r="H20" s="26"/>
    </row>
    <row r="21" spans="1:8">
      <c r="A21" s="26"/>
      <c r="B21" s="26"/>
      <c r="C21" s="26"/>
      <c r="D21" s="26"/>
      <c r="E21" s="26"/>
      <c r="F21" s="26"/>
      <c r="G21" s="26"/>
      <c r="H21" s="26"/>
    </row>
  </sheetData>
  <mergeCells count="3">
    <mergeCell ref="A1:H1"/>
    <mergeCell ref="A2:H2"/>
    <mergeCell ref="A18:H21"/>
  </mergeCells>
  <conditionalFormatting sqref="F8:F15">
    <cfRule type="expression" dxfId="0" priority="1">
      <formula>F8="FLIP"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NAL Simulator</vt:lpstr>
      <vt:lpstr>DECISION</vt:lpstr>
      <vt:lpstr>Sensitivity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ADRIANO BRAZ</dc:creator>
  <cp:lastModifiedBy>Adriano Braz</cp:lastModifiedBy>
  <dcterms:modified xsi:type="dcterms:W3CDTF">2026-09-10T04:13:33Z</dcterms:modified>
</cp:coreProperties>
</file>